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anmarket.local\DFS\RedirectFolder\Mille\Desktop\PD\PD dokumenter til hjemmeside\"/>
    </mc:Choice>
  </mc:AlternateContent>
  <bookViews>
    <workbookView xWindow="0" yWindow="0" windowWidth="17970" windowHeight="6135"/>
  </bookViews>
  <sheets>
    <sheet name="Trafikanalyse" sheetId="2" r:id="rId1"/>
    <sheet name="Beregninger" sheetId="1"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2" l="1"/>
  <c r="H25" i="2"/>
  <c r="G30" i="1"/>
  <c r="I30" i="1" s="1"/>
  <c r="B3" i="1"/>
  <c r="H3" i="1" s="1"/>
  <c r="K30" i="1" l="1"/>
  <c r="H28" i="2" s="1"/>
  <c r="H30" i="1"/>
  <c r="J30" i="1" s="1"/>
  <c r="H29" i="2" s="1"/>
  <c r="B21" i="1"/>
  <c r="B20" i="1"/>
  <c r="B18" i="1"/>
  <c r="B17" i="1"/>
  <c r="B14" i="1"/>
  <c r="B12" i="1"/>
  <c r="B2" i="1" l="1"/>
  <c r="H24" i="2"/>
  <c r="H22" i="2"/>
  <c r="H23" i="2" s="1"/>
  <c r="B10" i="1" l="1"/>
  <c r="H27" i="2" s="1"/>
  <c r="C5" i="1"/>
  <c r="B13" i="1"/>
  <c r="B15" i="1" s="1"/>
  <c r="S5" i="1"/>
  <c r="S6" i="1" s="1"/>
  <c r="R5" i="1"/>
  <c r="R6" i="1" s="1"/>
  <c r="Q5" i="1"/>
  <c r="Q6" i="1" s="1"/>
  <c r="P5" i="1"/>
  <c r="P6" i="1" s="1"/>
  <c r="O5" i="1"/>
  <c r="O6" i="1" s="1"/>
  <c r="N5" i="1"/>
  <c r="N6" i="1" s="1"/>
  <c r="M5" i="1"/>
  <c r="M6" i="1" s="1"/>
  <c r="L5" i="1"/>
  <c r="L6" i="1" s="1"/>
  <c r="K5" i="1"/>
  <c r="K6" i="1" s="1"/>
  <c r="J5" i="1"/>
  <c r="J6" i="1" s="1"/>
  <c r="H5" i="1"/>
  <c r="H6" i="1" s="1"/>
  <c r="G5" i="1"/>
  <c r="G6" i="1" s="1"/>
  <c r="I5" i="1"/>
  <c r="I6" i="1" s="1"/>
  <c r="F5" i="1"/>
  <c r="F6" i="1" s="1"/>
  <c r="E5" i="1"/>
  <c r="E6" i="1" s="1"/>
  <c r="D5" i="1"/>
  <c r="D6" i="1" s="1"/>
  <c r="B5" i="1"/>
  <c r="C6" i="1" l="1"/>
  <c r="C7" i="1" s="1"/>
  <c r="B6" i="1"/>
  <c r="B7" i="1" s="1"/>
  <c r="O7" i="1"/>
  <c r="S7" i="1"/>
  <c r="P7" i="1"/>
  <c r="Q7" i="1"/>
  <c r="R7" i="1"/>
  <c r="I7" i="1"/>
  <c r="K7" i="1"/>
  <c r="L7" i="1"/>
  <c r="H7" i="1"/>
  <c r="M7" i="1"/>
  <c r="F7" i="1"/>
  <c r="J7" i="1"/>
  <c r="N7" i="1"/>
  <c r="G7" i="1"/>
  <c r="E7" i="1"/>
  <c r="D7" i="1"/>
  <c r="B24" i="1"/>
  <c r="B8" i="1" l="1"/>
  <c r="B26" i="1" s="1"/>
  <c r="B27" i="1" l="1"/>
  <c r="D19" i="2"/>
  <c r="H30" i="2"/>
  <c r="D20" i="2" l="1"/>
</calcChain>
</file>

<file path=xl/sharedStrings.xml><?xml version="1.0" encoding="utf-8"?>
<sst xmlns="http://schemas.openxmlformats.org/spreadsheetml/2006/main" count="84" uniqueCount="60">
  <si>
    <t>Antal Stop</t>
  </si>
  <si>
    <t>Antal Stop, N</t>
  </si>
  <si>
    <t>H</t>
  </si>
  <si>
    <t>1:(N-1)</t>
  </si>
  <si>
    <t>(1:(N-1))/N</t>
  </si>
  <si>
    <t>((1:(N-1))/N)^P</t>
  </si>
  <si>
    <t>P</t>
  </si>
  <si>
    <t>S</t>
  </si>
  <si>
    <t>[m]</t>
  </si>
  <si>
    <t>Løftehøjde</t>
  </si>
  <si>
    <t>df</t>
  </si>
  <si>
    <t>Hastighed</t>
  </si>
  <si>
    <t>[m/s]</t>
  </si>
  <si>
    <t>tv</t>
  </si>
  <si>
    <t>[s]</t>
  </si>
  <si>
    <t>Døråbnetid, t0</t>
  </si>
  <si>
    <t>Dørlukketid, tc</t>
  </si>
  <si>
    <t>Single floor flight time:</t>
  </si>
  <si>
    <t>Vurderet</t>
  </si>
  <si>
    <t>Stop-tiden</t>
  </si>
  <si>
    <t>RTT</t>
  </si>
  <si>
    <t>loading time</t>
  </si>
  <si>
    <t>unloading time</t>
  </si>
  <si>
    <t>UPPHC</t>
  </si>
  <si>
    <t>Last:</t>
  </si>
  <si>
    <t>[kg]</t>
  </si>
  <si>
    <t>80% design kapacitet:</t>
  </si>
  <si>
    <t>Antal passagerer:</t>
  </si>
  <si>
    <t>[Personer]</t>
  </si>
  <si>
    <t>[-]</t>
  </si>
  <si>
    <t>Afstand mellem etager</t>
  </si>
  <si>
    <t>Transittid</t>
  </si>
  <si>
    <t>Indstigningstid</t>
  </si>
  <si>
    <t>Udstigningstid</t>
  </si>
  <si>
    <t>Køretid mellem 2 etager</t>
  </si>
  <si>
    <t>Døråbnetid</t>
  </si>
  <si>
    <t>Dørlukketid</t>
  </si>
  <si>
    <t>Antal sandsynlige stop:</t>
  </si>
  <si>
    <t>Gennemsnitlige højeste vendeetage</t>
  </si>
  <si>
    <t>[stop]</t>
  </si>
  <si>
    <t>[etage]</t>
  </si>
  <si>
    <t>Round Trip Time, RTT:</t>
  </si>
  <si>
    <t>Stoppe-tid</t>
  </si>
  <si>
    <t>Transfertid</t>
  </si>
  <si>
    <t>[personer]</t>
  </si>
  <si>
    <t>Kilde: 'Elevator Traffic Handbook Theory and Practice', Gina Barney and Lutfi Al-Sharif, Second Edition</t>
  </si>
  <si>
    <t>Stolareal</t>
  </si>
  <si>
    <t>[m^2]</t>
  </si>
  <si>
    <t>Mærkelast</t>
  </si>
  <si>
    <t>Nytteareal</t>
  </si>
  <si>
    <t>indtastet last</t>
  </si>
  <si>
    <t>tilsv. M2</t>
  </si>
  <si>
    <t>Antal personer</t>
  </si>
  <si>
    <t>antal pers</t>
  </si>
  <si>
    <t>m2</t>
  </si>
  <si>
    <t>over 2500</t>
  </si>
  <si>
    <t>3 nedenstående ikke i brug</t>
  </si>
  <si>
    <t>Up Peak Handling Capacity, UPPHC:</t>
  </si>
  <si>
    <t>Trafikanalyse (tovbårne)</t>
  </si>
  <si>
    <r>
      <t>Værktøjet bruges til at udregne "</t>
    </r>
    <r>
      <rPr>
        <b/>
        <i/>
        <sz val="11"/>
        <color theme="1"/>
        <rFont val="Calibri"/>
        <family val="2"/>
        <scheme val="minor"/>
      </rPr>
      <t>Up Peak Handling Capacity</t>
    </r>
    <r>
      <rPr>
        <i/>
        <sz val="11"/>
        <color theme="1"/>
        <rFont val="Calibri"/>
        <family val="2"/>
        <scheme val="minor"/>
      </rPr>
      <t>" (UPPHC) og "</t>
    </r>
    <r>
      <rPr>
        <b/>
        <i/>
        <sz val="11"/>
        <color theme="1"/>
        <rFont val="Calibri"/>
        <family val="2"/>
        <scheme val="minor"/>
      </rPr>
      <t>Round Trip Time</t>
    </r>
    <r>
      <rPr>
        <i/>
        <sz val="11"/>
        <color theme="1"/>
        <rFont val="Calibri"/>
        <family val="2"/>
        <scheme val="minor"/>
      </rPr>
      <t>" (RTT) efter indtastning af de ønskede specifikationer i felterne med gul baggrund. 
"</t>
    </r>
    <r>
      <rPr>
        <b/>
        <i/>
        <sz val="11"/>
        <color theme="1"/>
        <rFont val="Calibri"/>
        <family val="2"/>
        <scheme val="minor"/>
      </rPr>
      <t>Up Peak Handling Capacity</t>
    </r>
    <r>
      <rPr>
        <i/>
        <sz val="11"/>
        <color theme="1"/>
        <rFont val="Calibri"/>
        <family val="2"/>
        <scheme val="minor"/>
      </rPr>
      <t>" beskriever hvor stor belastning en elevator kan forventes at klare om morgenen hvor langt de fleste brugere typisk skal op - deraf navnet "Up Peak". Erfaring har vist at selvom der også er et tilsvarende "Down Peak" sidst på arbejdsdagen, så er morgentravlheden den mest belastende for systemet og derfor den faktor som giver det bedste billede af kapaciteten. 
"</t>
    </r>
    <r>
      <rPr>
        <b/>
        <i/>
        <sz val="11"/>
        <color theme="1"/>
        <rFont val="Calibri"/>
        <family val="2"/>
        <scheme val="minor"/>
      </rPr>
      <t>Round Trip Time</t>
    </r>
    <r>
      <rPr>
        <i/>
        <sz val="11"/>
        <color theme="1"/>
        <rFont val="Calibri"/>
        <family val="2"/>
        <scheme val="minor"/>
      </rPr>
      <t xml:space="preserve">" (RTT) Er den estimerede tid som elevatoren vil bruge på en tur fra nederste etage, til øverste og tilbage igen. Denne tid giver et billede af hvor lang tid det vil tage at transportere passagerer fra stuen til øverste etage og bruges desuden til udregning af UPPHC.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</si>
</sst>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6" x14ac:knownFonts="1">
    <font>
      <sz val="11"/>
      <color theme="1"/>
      <name val="Calibri"/>
      <family val="2"/>
      <scheme val="minor"/>
    </font>
    <font>
      <b/>
      <sz val="11"/>
      <color theme="1"/>
      <name val="Calibri"/>
      <family val="2"/>
      <scheme val="minor"/>
    </font>
    <font>
      <b/>
      <sz val="20"/>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3499862666707357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2" borderId="2" xfId="0" applyFill="1" applyBorder="1"/>
    <xf numFmtId="0" fontId="1" fillId="4" borderId="3" xfId="0" quotePrefix="1" applyFont="1" applyFill="1" applyBorder="1"/>
    <xf numFmtId="2" fontId="1" fillId="4" borderId="4" xfId="0" applyNumberFormat="1" applyFont="1" applyFill="1" applyBorder="1"/>
    <xf numFmtId="0" fontId="1" fillId="4" borderId="5" xfId="0" applyFont="1" applyFill="1" applyBorder="1"/>
    <xf numFmtId="0" fontId="1" fillId="4" borderId="6" xfId="0" applyFont="1" applyFill="1" applyBorder="1"/>
    <xf numFmtId="2" fontId="1" fillId="4" borderId="1" xfId="0" applyNumberFormat="1" applyFont="1" applyFill="1" applyBorder="1"/>
    <xf numFmtId="0" fontId="1" fillId="4" borderId="7" xfId="0" applyFont="1" applyFill="1" applyBorder="1"/>
    <xf numFmtId="0" fontId="0" fillId="6" borderId="0" xfId="0" applyFill="1"/>
    <xf numFmtId="0" fontId="2" fillId="6" borderId="0" xfId="0" applyFont="1" applyFill="1" applyBorder="1" applyAlignment="1"/>
    <xf numFmtId="0" fontId="0" fillId="2" borderId="0" xfId="0" applyFill="1"/>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0" fillId="2" borderId="2" xfId="0" quotePrefix="1" applyFill="1" applyBorder="1"/>
    <xf numFmtId="0" fontId="0" fillId="2" borderId="0" xfId="0" applyFill="1" applyBorder="1" applyAlignment="1"/>
    <xf numFmtId="0" fontId="0" fillId="2" borderId="2" xfId="0" applyFill="1" applyBorder="1" applyAlignment="1">
      <alignment horizontal="left" vertical="center"/>
    </xf>
    <xf numFmtId="0" fontId="0" fillId="2" borderId="2" xfId="0" applyFill="1" applyBorder="1" applyAlignment="1">
      <alignment vertical="center"/>
    </xf>
    <xf numFmtId="0" fontId="0" fillId="2" borderId="2" xfId="0" applyFill="1" applyBorder="1" applyAlignment="1">
      <alignment wrapText="1"/>
    </xf>
    <xf numFmtId="0" fontId="0" fillId="2" borderId="0" xfId="0" applyFill="1" applyBorder="1"/>
    <xf numFmtId="0" fontId="3" fillId="2" borderId="0" xfId="0" applyFont="1" applyFill="1"/>
    <xf numFmtId="0" fontId="2" fillId="2" borderId="0" xfId="0" applyFont="1" applyFill="1" applyBorder="1" applyAlignment="1">
      <alignment horizontal="left" vertical="top"/>
    </xf>
    <xf numFmtId="0" fontId="2" fillId="2" borderId="0" xfId="0" applyFont="1" applyFill="1" applyBorder="1" applyAlignment="1"/>
    <xf numFmtId="0" fontId="0" fillId="3" borderId="2" xfId="0" applyFill="1" applyBorder="1" applyProtection="1">
      <protection locked="0"/>
    </xf>
    <xf numFmtId="2" fontId="0" fillId="3" borderId="2" xfId="0" applyNumberFormat="1" applyFill="1" applyBorder="1" applyProtection="1">
      <protection locked="0"/>
    </xf>
    <xf numFmtId="0" fontId="0" fillId="0" borderId="0" xfId="0" applyProtection="1">
      <protection hidden="1"/>
    </xf>
    <xf numFmtId="2" fontId="0" fillId="0" borderId="0" xfId="0" applyNumberFormat="1" applyProtection="1">
      <protection hidden="1"/>
    </xf>
    <xf numFmtId="0" fontId="0" fillId="0" borderId="0" xfId="0" applyAlignment="1" applyProtection="1">
      <alignment horizontal="center"/>
      <protection hidden="1"/>
    </xf>
    <xf numFmtId="0" fontId="0" fillId="0" borderId="0" xfId="0" applyAlignment="1" applyProtection="1">
      <alignment horizontal="center"/>
      <protection hidden="1"/>
    </xf>
    <xf numFmtId="0" fontId="0" fillId="0" borderId="2" xfId="0" applyBorder="1" applyAlignment="1" applyProtection="1">
      <alignment horizontal="center"/>
      <protection hidden="1"/>
    </xf>
    <xf numFmtId="0" fontId="0" fillId="0" borderId="2" xfId="0" applyBorder="1" applyProtection="1">
      <protection hidden="1"/>
    </xf>
    <xf numFmtId="2" fontId="0" fillId="0" borderId="0" xfId="0" applyNumberFormat="1" applyAlignment="1" applyProtection="1">
      <alignment horizontal="center"/>
      <protection hidden="1"/>
    </xf>
    <xf numFmtId="164" fontId="0" fillId="0" borderId="0" xfId="0" applyNumberFormat="1" applyAlignment="1" applyProtection="1">
      <alignment horizontal="center"/>
      <protection hidden="1"/>
    </xf>
    <xf numFmtId="0" fontId="0" fillId="0" borderId="2" xfId="0" applyFill="1" applyBorder="1" applyProtection="1">
      <protection hidden="1"/>
    </xf>
    <xf numFmtId="0" fontId="0" fillId="0" borderId="2" xfId="0" applyFill="1" applyBorder="1" applyAlignment="1" applyProtection="1">
      <alignment horizontal="center"/>
      <protection hidden="1"/>
    </xf>
    <xf numFmtId="2" fontId="0" fillId="5" borderId="2" xfId="0" applyNumberFormat="1" applyFill="1" applyBorder="1"/>
    <xf numFmtId="2" fontId="0" fillId="5" borderId="2" xfId="0" applyNumberFormat="1" applyFill="1" applyBorder="1" applyAlignment="1">
      <alignment horizontal="right" vertical="center"/>
    </xf>
    <xf numFmtId="0" fontId="0" fillId="5" borderId="2" xfId="0" applyFill="1" applyBorder="1"/>
    <xf numFmtId="2" fontId="0" fillId="5" borderId="2" xfId="0" applyNumberFormat="1" applyFill="1" applyBorder="1" applyAlignment="1">
      <alignment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1552575</xdr:colOff>
      <xdr:row>2</xdr:row>
      <xdr:rowOff>28575</xdr:rowOff>
    </xdr:from>
    <xdr:to>
      <xdr:col>8</xdr:col>
      <xdr:colOff>702944</xdr:colOff>
      <xdr:row>4</xdr:row>
      <xdr:rowOff>151300</xdr:rowOff>
    </xdr:to>
    <xdr:pic>
      <xdr:nvPicPr>
        <xdr:cNvPr id="2" name="Billed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rcRect l="59876" t="9922" r="5599" b="80934"/>
        <a:stretch>
          <a:fillRect/>
        </a:stretch>
      </xdr:blipFill>
      <xdr:spPr bwMode="auto">
        <a:xfrm>
          <a:off x="5372100" y="219075"/>
          <a:ext cx="2379344" cy="503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4"/>
  <sheetViews>
    <sheetView showGridLines="0" tabSelected="1" zoomScaleNormal="100" zoomScaleSheetLayoutView="100" workbookViewId="0">
      <selection activeCell="N20" sqref="N20"/>
    </sheetView>
  </sheetViews>
  <sheetFormatPr defaultRowHeight="15" x14ac:dyDescent="0.25"/>
  <cols>
    <col min="1" max="1" width="4.85546875" style="8" customWidth="1"/>
    <col min="2" max="2" width="2.7109375" style="8" customWidth="1"/>
    <col min="3" max="3" width="32.28515625" style="8" customWidth="1"/>
    <col min="4" max="4" width="8.28515625" style="8" customWidth="1"/>
    <col min="5" max="5" width="10.140625" style="8" customWidth="1"/>
    <col min="6" max="6" width="1.7109375" style="8" customWidth="1"/>
    <col min="7" max="7" width="37.85546875" style="8" customWidth="1"/>
    <col min="8" max="8" width="10.5703125" style="8" customWidth="1"/>
    <col min="9" max="9" width="10.85546875" style="8" customWidth="1"/>
    <col min="10" max="10" width="2.7109375" style="8" customWidth="1"/>
    <col min="11" max="16384" width="9.140625" style="8"/>
  </cols>
  <sheetData>
    <row r="2" spans="2:11" x14ac:dyDescent="0.25">
      <c r="B2" s="10"/>
      <c r="C2" s="10"/>
      <c r="D2" s="10"/>
      <c r="E2" s="10"/>
      <c r="F2" s="10"/>
      <c r="G2" s="10"/>
      <c r="H2" s="10"/>
      <c r="I2" s="10"/>
      <c r="J2" s="10"/>
    </row>
    <row r="3" spans="2:11" ht="15" customHeight="1" x14ac:dyDescent="0.4">
      <c r="B3" s="10"/>
      <c r="C3" s="20" t="s">
        <v>58</v>
      </c>
      <c r="D3" s="20"/>
      <c r="E3" s="20"/>
      <c r="F3" s="20"/>
      <c r="G3" s="20"/>
      <c r="H3" s="20"/>
      <c r="I3" s="20"/>
      <c r="J3" s="21"/>
      <c r="K3" s="9"/>
    </row>
    <row r="4" spans="2:11" ht="15" customHeight="1" x14ac:dyDescent="0.4">
      <c r="B4" s="10"/>
      <c r="C4" s="20"/>
      <c r="D4" s="20"/>
      <c r="E4" s="20"/>
      <c r="F4" s="20"/>
      <c r="G4" s="20"/>
      <c r="H4" s="20"/>
      <c r="I4" s="20"/>
      <c r="J4" s="21"/>
      <c r="K4" s="9"/>
    </row>
    <row r="5" spans="2:11" ht="15" customHeight="1" x14ac:dyDescent="0.4">
      <c r="B5" s="10"/>
      <c r="C5" s="20"/>
      <c r="D5" s="20"/>
      <c r="E5" s="20"/>
      <c r="F5" s="20"/>
      <c r="G5" s="20"/>
      <c r="H5" s="20"/>
      <c r="I5" s="20"/>
      <c r="J5" s="21"/>
      <c r="K5" s="9"/>
    </row>
    <row r="6" spans="2:11" x14ac:dyDescent="0.25">
      <c r="B6" s="10"/>
      <c r="C6" s="10"/>
      <c r="D6" s="10"/>
      <c r="E6" s="10"/>
      <c r="F6" s="10"/>
      <c r="G6" s="10"/>
      <c r="H6" s="10"/>
      <c r="I6" s="10"/>
      <c r="J6" s="10"/>
    </row>
    <row r="7" spans="2:11" ht="14.45" customHeight="1" x14ac:dyDescent="0.25">
      <c r="B7" s="10"/>
      <c r="C7" s="11" t="s">
        <v>59</v>
      </c>
      <c r="D7" s="11"/>
      <c r="E7" s="11"/>
      <c r="F7" s="11"/>
      <c r="G7" s="11"/>
      <c r="H7" s="11"/>
      <c r="I7" s="11"/>
      <c r="J7" s="10"/>
    </row>
    <row r="8" spans="2:11" x14ac:dyDescent="0.25">
      <c r="B8" s="10"/>
      <c r="C8" s="11"/>
      <c r="D8" s="11"/>
      <c r="E8" s="11"/>
      <c r="F8" s="11"/>
      <c r="G8" s="11"/>
      <c r="H8" s="11"/>
      <c r="I8" s="11"/>
      <c r="J8" s="10"/>
    </row>
    <row r="9" spans="2:11" x14ac:dyDescent="0.25">
      <c r="B9" s="10"/>
      <c r="C9" s="11"/>
      <c r="D9" s="11"/>
      <c r="E9" s="11"/>
      <c r="F9" s="11"/>
      <c r="G9" s="11"/>
      <c r="H9" s="11"/>
      <c r="I9" s="11"/>
      <c r="J9" s="10"/>
    </row>
    <row r="10" spans="2:11" x14ac:dyDescent="0.25">
      <c r="B10" s="10"/>
      <c r="C10" s="11"/>
      <c r="D10" s="11"/>
      <c r="E10" s="11"/>
      <c r="F10" s="11"/>
      <c r="G10" s="11"/>
      <c r="H10" s="11"/>
      <c r="I10" s="11"/>
      <c r="J10" s="10"/>
    </row>
    <row r="11" spans="2:11" x14ac:dyDescent="0.25">
      <c r="B11" s="10"/>
      <c r="C11" s="11"/>
      <c r="D11" s="11"/>
      <c r="E11" s="11"/>
      <c r="F11" s="11"/>
      <c r="G11" s="11"/>
      <c r="H11" s="11"/>
      <c r="I11" s="11"/>
      <c r="J11" s="10"/>
    </row>
    <row r="12" spans="2:11" x14ac:dyDescent="0.25">
      <c r="B12" s="10"/>
      <c r="C12" s="11"/>
      <c r="D12" s="11"/>
      <c r="E12" s="11"/>
      <c r="F12" s="11"/>
      <c r="G12" s="11"/>
      <c r="H12" s="11"/>
      <c r="I12" s="11"/>
      <c r="J12" s="10"/>
    </row>
    <row r="13" spans="2:11" x14ac:dyDescent="0.25">
      <c r="B13" s="10"/>
      <c r="C13" s="11"/>
      <c r="D13" s="11"/>
      <c r="E13" s="11"/>
      <c r="F13" s="11"/>
      <c r="G13" s="11"/>
      <c r="H13" s="11"/>
      <c r="I13" s="11"/>
      <c r="J13" s="10"/>
    </row>
    <row r="14" spans="2:11" x14ac:dyDescent="0.25">
      <c r="B14" s="10"/>
      <c r="C14" s="11"/>
      <c r="D14" s="11"/>
      <c r="E14" s="11"/>
      <c r="F14" s="11"/>
      <c r="G14" s="11"/>
      <c r="H14" s="11"/>
      <c r="I14" s="11"/>
      <c r="J14" s="10"/>
    </row>
    <row r="15" spans="2:11" ht="13.9" customHeight="1" x14ac:dyDescent="0.25">
      <c r="B15" s="10"/>
      <c r="C15" s="11"/>
      <c r="D15" s="11"/>
      <c r="E15" s="11"/>
      <c r="F15" s="11"/>
      <c r="G15" s="11"/>
      <c r="H15" s="11"/>
      <c r="I15" s="11"/>
      <c r="J15" s="10"/>
    </row>
    <row r="16" spans="2:11" x14ac:dyDescent="0.25">
      <c r="B16" s="10"/>
      <c r="C16" s="11"/>
      <c r="D16" s="11"/>
      <c r="E16" s="11"/>
      <c r="F16" s="11"/>
      <c r="G16" s="11"/>
      <c r="H16" s="11"/>
      <c r="I16" s="11"/>
      <c r="J16" s="10"/>
    </row>
    <row r="17" spans="2:10" ht="13.9" customHeight="1" x14ac:dyDescent="0.25">
      <c r="B17" s="10"/>
      <c r="C17" s="11"/>
      <c r="D17" s="11"/>
      <c r="E17" s="11"/>
      <c r="F17" s="11"/>
      <c r="G17" s="11"/>
      <c r="H17" s="11"/>
      <c r="I17" s="11"/>
      <c r="J17" s="10"/>
    </row>
    <row r="18" spans="2:10" ht="13.9" customHeight="1" x14ac:dyDescent="0.25">
      <c r="B18" s="10"/>
      <c r="C18" s="11"/>
      <c r="D18" s="11"/>
      <c r="E18" s="11"/>
      <c r="F18" s="11"/>
      <c r="G18" s="11"/>
      <c r="H18" s="11"/>
      <c r="I18" s="11"/>
      <c r="J18" s="10"/>
    </row>
    <row r="19" spans="2:10" x14ac:dyDescent="0.25">
      <c r="B19" s="10"/>
      <c r="C19" s="2" t="s">
        <v>41</v>
      </c>
      <c r="D19" s="3">
        <f>Beregninger!B26</f>
        <v>196.38076491151764</v>
      </c>
      <c r="E19" s="4" t="s">
        <v>14</v>
      </c>
      <c r="F19" s="10"/>
      <c r="G19" s="10"/>
      <c r="H19" s="10"/>
      <c r="I19" s="10"/>
      <c r="J19" s="10"/>
    </row>
    <row r="20" spans="2:10" x14ac:dyDescent="0.25">
      <c r="B20" s="10"/>
      <c r="C20" s="5" t="s">
        <v>57</v>
      </c>
      <c r="D20" s="6">
        <f>(300/D19)*H29</f>
        <v>24.442312372918565</v>
      </c>
      <c r="E20" s="7" t="s">
        <v>44</v>
      </c>
      <c r="F20" s="10"/>
      <c r="G20" s="10"/>
      <c r="H20" s="10"/>
      <c r="I20" s="10"/>
      <c r="J20" s="10"/>
    </row>
    <row r="21" spans="2:10" x14ac:dyDescent="0.25">
      <c r="B21" s="10"/>
      <c r="C21" s="12"/>
      <c r="D21" s="12"/>
      <c r="E21" s="12"/>
      <c r="F21" s="12"/>
      <c r="G21" s="12"/>
      <c r="H21" s="12"/>
      <c r="I21" s="12"/>
      <c r="J21" s="10"/>
    </row>
    <row r="22" spans="2:10" ht="20.100000000000001" customHeight="1" x14ac:dyDescent="0.25">
      <c r="B22" s="10"/>
      <c r="C22" s="1" t="s">
        <v>24</v>
      </c>
      <c r="D22" s="22">
        <v>2000</v>
      </c>
      <c r="E22" s="1" t="s">
        <v>25</v>
      </c>
      <c r="F22" s="10"/>
      <c r="G22" s="1" t="s">
        <v>31</v>
      </c>
      <c r="H22" s="34">
        <f>H26/D26</f>
        <v>1.45</v>
      </c>
      <c r="I22" s="1" t="s">
        <v>14</v>
      </c>
      <c r="J22" s="10"/>
    </row>
    <row r="23" spans="2:10" ht="20.100000000000001" customHeight="1" x14ac:dyDescent="0.25">
      <c r="B23" s="10"/>
      <c r="C23" s="1" t="s">
        <v>46</v>
      </c>
      <c r="D23" s="23">
        <v>4.2</v>
      </c>
      <c r="E23" s="1" t="s">
        <v>47</v>
      </c>
      <c r="F23" s="10"/>
      <c r="G23" s="1" t="s">
        <v>42</v>
      </c>
      <c r="H23" s="34">
        <f>H25+D29+D30-H22</f>
        <v>5.5</v>
      </c>
      <c r="I23" s="1" t="s">
        <v>14</v>
      </c>
      <c r="J23" s="10"/>
    </row>
    <row r="24" spans="2:10" ht="20.100000000000001" customHeight="1" x14ac:dyDescent="0.25">
      <c r="B24" s="10"/>
      <c r="C24" s="1" t="s">
        <v>0</v>
      </c>
      <c r="D24" s="22">
        <v>17</v>
      </c>
      <c r="E24" s="1" t="s">
        <v>29</v>
      </c>
      <c r="F24" s="10"/>
      <c r="G24" s="1" t="s">
        <v>43</v>
      </c>
      <c r="H24" s="34">
        <f>(D27+D28)/2</f>
        <v>1.2</v>
      </c>
      <c r="I24" s="1" t="s">
        <v>14</v>
      </c>
      <c r="J24" s="10"/>
    </row>
    <row r="25" spans="2:10" ht="20.100000000000001" customHeight="1" x14ac:dyDescent="0.25">
      <c r="B25" s="10"/>
      <c r="C25" s="1" t="s">
        <v>9</v>
      </c>
      <c r="D25" s="22">
        <v>58</v>
      </c>
      <c r="E25" s="1" t="s">
        <v>8</v>
      </c>
      <c r="F25" s="10"/>
      <c r="G25" s="13" t="s">
        <v>34</v>
      </c>
      <c r="H25" s="34">
        <f>(D25/(D24-1))/D26</f>
        <v>1.45</v>
      </c>
      <c r="I25" s="1" t="s">
        <v>14</v>
      </c>
      <c r="J25" s="10"/>
    </row>
    <row r="26" spans="2:10" ht="20.100000000000001" customHeight="1" x14ac:dyDescent="0.25">
      <c r="B26" s="10"/>
      <c r="C26" s="1" t="s">
        <v>11</v>
      </c>
      <c r="D26" s="23">
        <v>2.5</v>
      </c>
      <c r="E26" s="1" t="s">
        <v>12</v>
      </c>
      <c r="F26" s="14"/>
      <c r="G26" s="1" t="s">
        <v>30</v>
      </c>
      <c r="H26" s="34">
        <f>D25/(D24-1)</f>
        <v>3.625</v>
      </c>
      <c r="I26" s="1" t="s">
        <v>8</v>
      </c>
      <c r="J26" s="10"/>
    </row>
    <row r="27" spans="2:10" ht="20.100000000000001" customHeight="1" x14ac:dyDescent="0.25">
      <c r="B27" s="10"/>
      <c r="C27" s="1" t="s">
        <v>32</v>
      </c>
      <c r="D27" s="23">
        <v>1.2</v>
      </c>
      <c r="E27" s="1" t="s">
        <v>14</v>
      </c>
      <c r="F27" s="14"/>
      <c r="G27" s="15" t="s">
        <v>37</v>
      </c>
      <c r="H27" s="35">
        <f>Beregninger!B10</f>
        <v>10.555549357395085</v>
      </c>
      <c r="I27" s="16" t="s">
        <v>39</v>
      </c>
      <c r="J27" s="10"/>
    </row>
    <row r="28" spans="2:10" ht="20.100000000000001" customHeight="1" x14ac:dyDescent="0.25">
      <c r="B28" s="10"/>
      <c r="C28" s="1" t="s">
        <v>33</v>
      </c>
      <c r="D28" s="23">
        <v>1.2</v>
      </c>
      <c r="E28" s="1" t="s">
        <v>14</v>
      </c>
      <c r="F28" s="10"/>
      <c r="G28" s="1" t="s">
        <v>27</v>
      </c>
      <c r="H28" s="36">
        <f>Beregninger!K30</f>
        <v>26</v>
      </c>
      <c r="I28" s="1" t="s">
        <v>28</v>
      </c>
      <c r="J28" s="10"/>
    </row>
    <row r="29" spans="2:10" ht="20.100000000000001" customHeight="1" x14ac:dyDescent="0.25">
      <c r="B29" s="10"/>
      <c r="C29" s="1" t="s">
        <v>36</v>
      </c>
      <c r="D29" s="23">
        <v>3</v>
      </c>
      <c r="E29" s="1" t="s">
        <v>14</v>
      </c>
      <c r="F29" s="14"/>
      <c r="G29" s="1" t="s">
        <v>26</v>
      </c>
      <c r="H29" s="34">
        <f>(D23/0.21)*0.8</f>
        <v>16</v>
      </c>
      <c r="I29" s="1" t="s">
        <v>28</v>
      </c>
      <c r="J29" s="10"/>
    </row>
    <row r="30" spans="2:10" ht="20.100000000000001" customHeight="1" x14ac:dyDescent="0.25">
      <c r="B30" s="10"/>
      <c r="C30" s="13" t="s">
        <v>35</v>
      </c>
      <c r="D30" s="23">
        <v>2.5</v>
      </c>
      <c r="E30" s="1" t="s">
        <v>14</v>
      </c>
      <c r="F30" s="10"/>
      <c r="G30" s="17" t="s">
        <v>38</v>
      </c>
      <c r="H30" s="37">
        <f>Beregninger!B8</f>
        <v>16.422506395998127</v>
      </c>
      <c r="I30" s="16" t="s">
        <v>40</v>
      </c>
      <c r="J30" s="10"/>
    </row>
    <row r="31" spans="2:10" x14ac:dyDescent="0.25">
      <c r="B31" s="10"/>
      <c r="C31" s="10"/>
      <c r="D31" s="10"/>
      <c r="E31" s="10"/>
      <c r="F31" s="18"/>
      <c r="G31" s="10"/>
      <c r="H31" s="10"/>
      <c r="I31" s="10"/>
      <c r="J31" s="10"/>
    </row>
    <row r="32" spans="2:10" x14ac:dyDescent="0.25">
      <c r="B32" s="10"/>
      <c r="C32" s="10"/>
      <c r="D32" s="10"/>
      <c r="E32" s="10"/>
      <c r="F32" s="10"/>
      <c r="G32" s="10"/>
      <c r="H32" s="10"/>
      <c r="I32" s="10"/>
      <c r="J32" s="10"/>
    </row>
    <row r="33" spans="2:10" x14ac:dyDescent="0.25">
      <c r="B33" s="10"/>
      <c r="C33" s="19" t="s">
        <v>45</v>
      </c>
      <c r="D33" s="10"/>
      <c r="E33" s="10"/>
      <c r="F33" s="10"/>
      <c r="G33" s="10"/>
      <c r="H33" s="10"/>
      <c r="I33" s="10"/>
      <c r="J33" s="10"/>
    </row>
    <row r="34" spans="2:10" x14ac:dyDescent="0.25">
      <c r="B34" s="10"/>
      <c r="C34" s="10"/>
      <c r="D34" s="10"/>
      <c r="E34" s="10"/>
      <c r="F34" s="10"/>
      <c r="G34" s="10"/>
      <c r="H34" s="10"/>
      <c r="I34" s="10"/>
      <c r="J34" s="10"/>
    </row>
  </sheetData>
  <sheetProtection algorithmName="SHA-512" hashValue="39Y6Q8fs5AH+DQQwInI3556/qtXdfy2+yzl52OH94J12LQiL026gOSBFAx0MmvvF2wqORf7f/FC8ES/mzgKIaA==" saltValue="xibFX62ssiL6GCIwObBSnQ==" spinCount="100000" sheet="1" objects="1" scenarios="1"/>
  <mergeCells count="2">
    <mergeCell ref="C3:I5"/>
    <mergeCell ref="C7:I18"/>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8"/>
  <sheetViews>
    <sheetView workbookViewId="0">
      <selection activeCell="G20" sqref="G20"/>
    </sheetView>
  </sheetViews>
  <sheetFormatPr defaultRowHeight="15" x14ac:dyDescent="0.25"/>
  <cols>
    <col min="1" max="1" width="21.7109375" style="24" customWidth="1"/>
    <col min="2" max="4" width="12" style="24" bestFit="1" customWidth="1"/>
    <col min="5" max="5" width="15.140625" style="24" customWidth="1"/>
    <col min="6" max="7" width="12" style="24" bestFit="1" customWidth="1"/>
    <col min="8" max="8" width="12.28515625" style="24" bestFit="1" customWidth="1"/>
    <col min="9" max="9" width="10.85546875" style="24" customWidth="1"/>
    <col min="10" max="16384" width="9.140625" style="24"/>
  </cols>
  <sheetData>
    <row r="2" spans="1:19" x14ac:dyDescent="0.25">
      <c r="A2" s="24" t="s">
        <v>6</v>
      </c>
      <c r="B2" s="24">
        <f>Trafikanalyse!H29</f>
        <v>16</v>
      </c>
    </row>
    <row r="3" spans="1:19" x14ac:dyDescent="0.25">
      <c r="A3" s="24" t="s">
        <v>1</v>
      </c>
      <c r="B3" s="24">
        <f>Trafikanalyse!D24</f>
        <v>17</v>
      </c>
      <c r="H3" s="24">
        <f>IF(B3&lt;7,1,0)</f>
        <v>0</v>
      </c>
    </row>
    <row r="5" spans="1:19" x14ac:dyDescent="0.25">
      <c r="A5" s="24" t="s">
        <v>3</v>
      </c>
      <c r="B5" s="24">
        <f>B3-(B3-1)</f>
        <v>1</v>
      </c>
      <c r="C5" s="24">
        <f>B3-(B3-2)</f>
        <v>2</v>
      </c>
      <c r="D5" s="24">
        <f>B3-(B3-3)</f>
        <v>3</v>
      </c>
      <c r="E5" s="24">
        <f>B3-(B3-4)</f>
        <v>4</v>
      </c>
      <c r="F5" s="24">
        <f>B3-(B3-5)</f>
        <v>5</v>
      </c>
      <c r="G5" s="24">
        <f>B3-(B3-6)</f>
        <v>6</v>
      </c>
      <c r="H5" s="24">
        <f>B3-(B3-7)</f>
        <v>7</v>
      </c>
      <c r="I5" s="24">
        <f>B3-(B3-8)</f>
        <v>8</v>
      </c>
      <c r="J5" s="24">
        <f>B3-(B3-9)</f>
        <v>9</v>
      </c>
      <c r="K5" s="24">
        <f>B3-(B3-10)</f>
        <v>10</v>
      </c>
      <c r="L5" s="24">
        <f>B3-(B3-11)</f>
        <v>11</v>
      </c>
      <c r="M5" s="24">
        <f>B3-(B3-12)</f>
        <v>12</v>
      </c>
      <c r="N5" s="24">
        <f>B3-(B3-13)</f>
        <v>13</v>
      </c>
      <c r="O5" s="24">
        <f>B3-(B3-14)</f>
        <v>14</v>
      </c>
      <c r="P5" s="24">
        <f>B3-(B3-15)</f>
        <v>15</v>
      </c>
      <c r="Q5" s="24">
        <f>B3-(B3-16)</f>
        <v>16</v>
      </c>
      <c r="R5" s="24">
        <f>B3-(B3-17)</f>
        <v>17</v>
      </c>
      <c r="S5" s="24">
        <f>B3-(B3-18)</f>
        <v>18</v>
      </c>
    </row>
    <row r="6" spans="1:19" x14ac:dyDescent="0.25">
      <c r="A6" s="24" t="s">
        <v>4</v>
      </c>
      <c r="B6" s="24">
        <f>IF(B3&gt;1,B5/B3,0)</f>
        <v>5.8823529411764705E-2</v>
      </c>
      <c r="C6" s="24">
        <f>IF(B3&gt;2,B5/B3,0)</f>
        <v>5.8823529411764705E-2</v>
      </c>
      <c r="D6" s="24">
        <f>IF(B3&gt;3,D5/B3,0)</f>
        <v>0.17647058823529413</v>
      </c>
      <c r="E6" s="24">
        <f>IF(B3&gt;4,E5/B3,0)</f>
        <v>0.23529411764705882</v>
      </c>
      <c r="F6" s="24">
        <f>IF(B3&gt;5,F5/B3,0)</f>
        <v>0.29411764705882354</v>
      </c>
      <c r="G6" s="24">
        <f>IF(B3&gt;6,G5/B3,0)</f>
        <v>0.35294117647058826</v>
      </c>
      <c r="H6" s="24">
        <f>IF(B3&gt;7,H5/B3,0)</f>
        <v>0.41176470588235292</v>
      </c>
      <c r="I6" s="24">
        <f>IF(B3&gt;8,I5/B3,0)</f>
        <v>0.47058823529411764</v>
      </c>
      <c r="J6" s="24">
        <f>IF(B3&gt;9,J5/B3,0)</f>
        <v>0.52941176470588236</v>
      </c>
      <c r="K6" s="24">
        <f>IF(B3&gt;10,K5/B3,0)</f>
        <v>0.58823529411764708</v>
      </c>
      <c r="L6" s="24">
        <f>IF(B3&gt;11,L5/B3,0)</f>
        <v>0.6470588235294118</v>
      </c>
      <c r="M6" s="24">
        <f>IF(B3&gt;12,M5/B3,0)</f>
        <v>0.70588235294117652</v>
      </c>
      <c r="N6" s="24">
        <f>IF(B3&gt;13,N5/B3,0)</f>
        <v>0.76470588235294112</v>
      </c>
      <c r="O6" s="24">
        <f>IF(B3&gt;14,O5/B3,0)</f>
        <v>0.82352941176470584</v>
      </c>
      <c r="P6" s="24">
        <f>IF(B3&gt;15,P5/B3,0)</f>
        <v>0.88235294117647056</v>
      </c>
      <c r="Q6" s="24">
        <f>IF(B3&gt;16,Q5/B3,0)</f>
        <v>0.94117647058823528</v>
      </c>
      <c r="R6" s="24">
        <f>IF(B3&gt;17,R5/B3,0)</f>
        <v>0</v>
      </c>
      <c r="S6" s="24">
        <f>IF(B3&gt;18,S5/B3,0)</f>
        <v>0</v>
      </c>
    </row>
    <row r="7" spans="1:19" x14ac:dyDescent="0.25">
      <c r="A7" s="24" t="s">
        <v>5</v>
      </c>
      <c r="B7" s="24">
        <f>B6^B2</f>
        <v>2.0550257021140748E-20</v>
      </c>
      <c r="C7" s="24">
        <f>C6^B2</f>
        <v>2.0550257021140748E-20</v>
      </c>
      <c r="D7" s="24">
        <f>D6^B2</f>
        <v>8.84621180467338E-13</v>
      </c>
      <c r="E7" s="24">
        <f>E6^B2</f>
        <v>8.8262681830193893E-11</v>
      </c>
      <c r="F7" s="24">
        <f>F6^B2</f>
        <v>3.135720370657464E-9</v>
      </c>
      <c r="G7" s="24">
        <f>G6^B2</f>
        <v>5.7974533683107463E-8</v>
      </c>
      <c r="H7" s="24">
        <f>H6^B2</f>
        <v>6.8294526477102544E-7</v>
      </c>
      <c r="I7" s="24">
        <f>I6^B2</f>
        <v>5.784383116423587E-6</v>
      </c>
      <c r="J7" s="24">
        <f>J6^B2</f>
        <v>3.808004114626813E-5</v>
      </c>
      <c r="K7" s="24">
        <f>K6^B2</f>
        <v>2.0550257021140756E-4</v>
      </c>
      <c r="L7" s="24">
        <f>L6^B2</f>
        <v>9.4427875874839474E-4</v>
      </c>
      <c r="M7" s="24">
        <f>M6^B2</f>
        <v>3.7994190394561307E-3</v>
      </c>
      <c r="N7" s="24">
        <f>N6^B2</f>
        <v>1.3674482344850299E-2</v>
      </c>
      <c r="O7" s="24">
        <f>O6^B2</f>
        <v>4.4757500872033923E-2</v>
      </c>
      <c r="P7" s="24">
        <f>P6^B2</f>
        <v>0.13498247992970824</v>
      </c>
      <c r="Q7" s="24">
        <f>Q6^B2</f>
        <v>0.3790853319179362</v>
      </c>
      <c r="R7" s="24">
        <f>R6^B2</f>
        <v>0</v>
      </c>
      <c r="S7" s="24">
        <f>S6^B2</f>
        <v>0</v>
      </c>
    </row>
    <row r="8" spans="1:19" x14ac:dyDescent="0.25">
      <c r="A8" s="24" t="s">
        <v>2</v>
      </c>
      <c r="B8" s="25">
        <f>B3-(SUM(B7:S7))</f>
        <v>16.422506395998127</v>
      </c>
    </row>
    <row r="10" spans="1:19" x14ac:dyDescent="0.25">
      <c r="A10" s="24" t="s">
        <v>7</v>
      </c>
      <c r="B10" s="25">
        <f>B3*(1-(((B3-1)/B3)^B2))</f>
        <v>10.555549357395085</v>
      </c>
    </row>
    <row r="12" spans="1:19" x14ac:dyDescent="0.25">
      <c r="A12" s="24" t="s">
        <v>9</v>
      </c>
      <c r="B12" s="24">
        <f>Trafikanalyse!D25</f>
        <v>58</v>
      </c>
      <c r="C12" s="24" t="s">
        <v>8</v>
      </c>
    </row>
    <row r="13" spans="1:19" x14ac:dyDescent="0.25">
      <c r="A13" s="24" t="s">
        <v>10</v>
      </c>
      <c r="B13" s="25">
        <f>B12/(B3-1)</f>
        <v>3.625</v>
      </c>
      <c r="C13" s="24" t="s">
        <v>8</v>
      </c>
    </row>
    <row r="14" spans="1:19" x14ac:dyDescent="0.25">
      <c r="A14" s="24" t="s">
        <v>11</v>
      </c>
      <c r="B14" s="25">
        <f>Trafikanalyse!D26</f>
        <v>2.5</v>
      </c>
      <c r="C14" s="24" t="s">
        <v>12</v>
      </c>
    </row>
    <row r="15" spans="1:19" x14ac:dyDescent="0.25">
      <c r="A15" s="24" t="s">
        <v>13</v>
      </c>
      <c r="B15" s="25">
        <f>B13/B14</f>
        <v>1.45</v>
      </c>
      <c r="C15" s="24" t="s">
        <v>14</v>
      </c>
    </row>
    <row r="17" spans="1:11" x14ac:dyDescent="0.25">
      <c r="A17" s="24" t="s">
        <v>15</v>
      </c>
      <c r="B17" s="25">
        <f>Trafikanalyse!D30</f>
        <v>2.5</v>
      </c>
      <c r="C17" s="24" t="s">
        <v>14</v>
      </c>
    </row>
    <row r="18" spans="1:11" x14ac:dyDescent="0.25">
      <c r="A18" s="24" t="s">
        <v>16</v>
      </c>
      <c r="B18" s="25">
        <f>Trafikanalyse!D29</f>
        <v>3</v>
      </c>
      <c r="C18" s="24" t="s">
        <v>14</v>
      </c>
    </row>
    <row r="20" spans="1:11" x14ac:dyDescent="0.25">
      <c r="A20" s="24" t="s">
        <v>21</v>
      </c>
      <c r="B20" s="25">
        <f>Trafikanalyse!D27</f>
        <v>1.2</v>
      </c>
      <c r="C20" s="24" t="s">
        <v>14</v>
      </c>
    </row>
    <row r="21" spans="1:11" x14ac:dyDescent="0.25">
      <c r="A21" s="24" t="s">
        <v>22</v>
      </c>
      <c r="B21" s="25">
        <f>Trafikanalyse!D28</f>
        <v>1.2</v>
      </c>
      <c r="C21" s="24" t="s">
        <v>14</v>
      </c>
    </row>
    <row r="23" spans="1:11" x14ac:dyDescent="0.25">
      <c r="A23" s="24" t="s">
        <v>17</v>
      </c>
      <c r="B23" s="25">
        <v>5.5</v>
      </c>
      <c r="C23" s="24" t="s">
        <v>14</v>
      </c>
      <c r="D23" s="24" t="s">
        <v>18</v>
      </c>
    </row>
    <row r="24" spans="1:11" x14ac:dyDescent="0.25">
      <c r="A24" s="24" t="s">
        <v>19</v>
      </c>
      <c r="B24" s="25">
        <f>B23+B18+B17-B15</f>
        <v>9.5500000000000007</v>
      </c>
      <c r="C24" s="24" t="s">
        <v>14</v>
      </c>
    </row>
    <row r="26" spans="1:11" x14ac:dyDescent="0.25">
      <c r="A26" s="24" t="s">
        <v>20</v>
      </c>
      <c r="B26" s="25">
        <f>(2*B8*B15)+((B10+1)*B24)+(2*B2*((B20+B21)/2))</f>
        <v>196.38076491151764</v>
      </c>
      <c r="C26" s="24" t="s">
        <v>14</v>
      </c>
    </row>
    <row r="27" spans="1:11" x14ac:dyDescent="0.25">
      <c r="A27" s="24" t="s">
        <v>23</v>
      </c>
      <c r="B27" s="25">
        <f>(300/B26)*B2</f>
        <v>24.442312372918565</v>
      </c>
    </row>
    <row r="28" spans="1:11" x14ac:dyDescent="0.25">
      <c r="H28" s="26" t="s">
        <v>56</v>
      </c>
      <c r="I28" s="26"/>
      <c r="J28" s="26"/>
    </row>
    <row r="29" spans="1:11" x14ac:dyDescent="0.25">
      <c r="G29" s="27" t="s">
        <v>50</v>
      </c>
      <c r="H29" s="27" t="s">
        <v>51</v>
      </c>
      <c r="I29" s="27" t="s">
        <v>55</v>
      </c>
      <c r="J29" s="27" t="s">
        <v>54</v>
      </c>
      <c r="K29" s="27" t="s">
        <v>53</v>
      </c>
    </row>
    <row r="30" spans="1:11" ht="29.45" customHeight="1" x14ac:dyDescent="0.25">
      <c r="B30" s="28" t="s">
        <v>48</v>
      </c>
      <c r="C30" s="28" t="s">
        <v>49</v>
      </c>
      <c r="D30" s="28" t="s">
        <v>48</v>
      </c>
      <c r="E30" s="29" t="s">
        <v>52</v>
      </c>
      <c r="G30" s="27">
        <f>Trafikanalyse!D22</f>
        <v>2000</v>
      </c>
      <c r="H30" s="30">
        <f>LOOKUP(G30,B31:B58,C31:C58)</f>
        <v>4.2</v>
      </c>
      <c r="I30" s="31">
        <f>5+(((G30-2500)/100)*0.16)</f>
        <v>4.2</v>
      </c>
      <c r="J30" s="27">
        <f>IF(G30&gt;2500,I30,H30)</f>
        <v>4.2</v>
      </c>
      <c r="K30" s="27">
        <f>LOOKUP(G30,D31:D65,E31:E65)</f>
        <v>26</v>
      </c>
    </row>
    <row r="31" spans="1:11" x14ac:dyDescent="0.25">
      <c r="B31" s="28">
        <v>100</v>
      </c>
      <c r="C31" s="28">
        <v>0.37</v>
      </c>
      <c r="D31" s="29">
        <v>100</v>
      </c>
      <c r="E31" s="29">
        <v>1</v>
      </c>
    </row>
    <row r="32" spans="1:11" x14ac:dyDescent="0.25">
      <c r="B32" s="28">
        <v>180</v>
      </c>
      <c r="C32" s="28">
        <v>0.57999999999999996</v>
      </c>
      <c r="D32" s="29">
        <v>180</v>
      </c>
      <c r="E32" s="29">
        <v>2</v>
      </c>
    </row>
    <row r="33" spans="2:5" x14ac:dyDescent="0.25">
      <c r="B33" s="28">
        <v>225</v>
      </c>
      <c r="C33" s="28">
        <v>0.7</v>
      </c>
      <c r="D33" s="29">
        <v>225</v>
      </c>
      <c r="E33" s="29">
        <v>3</v>
      </c>
    </row>
    <row r="34" spans="2:5" x14ac:dyDescent="0.25">
      <c r="B34" s="28">
        <v>300</v>
      </c>
      <c r="C34" s="28">
        <v>0.9</v>
      </c>
      <c r="D34" s="32">
        <v>300</v>
      </c>
      <c r="E34" s="29">
        <v>4</v>
      </c>
    </row>
    <row r="35" spans="2:5" x14ac:dyDescent="0.25">
      <c r="B35" s="28">
        <v>375</v>
      </c>
      <c r="C35" s="28">
        <v>1.1000000000000001</v>
      </c>
      <c r="D35" s="32">
        <v>375</v>
      </c>
      <c r="E35" s="29">
        <v>5</v>
      </c>
    </row>
    <row r="36" spans="2:5" x14ac:dyDescent="0.25">
      <c r="B36" s="28">
        <v>400</v>
      </c>
      <c r="C36" s="28">
        <v>1.17</v>
      </c>
      <c r="D36" s="29">
        <v>450</v>
      </c>
      <c r="E36" s="29">
        <v>6</v>
      </c>
    </row>
    <row r="37" spans="2:5" x14ac:dyDescent="0.25">
      <c r="B37" s="28">
        <v>450</v>
      </c>
      <c r="C37" s="28">
        <v>1.3</v>
      </c>
      <c r="D37" s="32">
        <v>525</v>
      </c>
      <c r="E37" s="29">
        <v>7</v>
      </c>
    </row>
    <row r="38" spans="2:5" x14ac:dyDescent="0.25">
      <c r="B38" s="28">
        <v>525</v>
      </c>
      <c r="C38" s="28">
        <v>1.45</v>
      </c>
      <c r="D38" s="32">
        <v>600</v>
      </c>
      <c r="E38" s="29">
        <v>8</v>
      </c>
    </row>
    <row r="39" spans="2:5" x14ac:dyDescent="0.25">
      <c r="B39" s="28">
        <v>600</v>
      </c>
      <c r="C39" s="28">
        <v>1.6</v>
      </c>
      <c r="D39" s="29">
        <v>675</v>
      </c>
      <c r="E39" s="29">
        <v>9</v>
      </c>
    </row>
    <row r="40" spans="2:5" x14ac:dyDescent="0.25">
      <c r="B40" s="28">
        <v>630</v>
      </c>
      <c r="C40" s="28">
        <v>1.66</v>
      </c>
      <c r="D40" s="32">
        <v>750</v>
      </c>
      <c r="E40" s="29">
        <v>10</v>
      </c>
    </row>
    <row r="41" spans="2:5" x14ac:dyDescent="0.25">
      <c r="B41" s="28">
        <v>675</v>
      </c>
      <c r="C41" s="28">
        <v>1.75</v>
      </c>
      <c r="D41" s="32">
        <v>825</v>
      </c>
      <c r="E41" s="29">
        <v>11</v>
      </c>
    </row>
    <row r="42" spans="2:5" x14ac:dyDescent="0.25">
      <c r="B42" s="28">
        <v>750</v>
      </c>
      <c r="C42" s="28">
        <v>1.9</v>
      </c>
      <c r="D42" s="29">
        <v>900</v>
      </c>
      <c r="E42" s="29">
        <v>12</v>
      </c>
    </row>
    <row r="43" spans="2:5" x14ac:dyDescent="0.25">
      <c r="B43" s="28">
        <v>800</v>
      </c>
      <c r="C43" s="28">
        <v>2</v>
      </c>
      <c r="D43" s="32">
        <v>975</v>
      </c>
      <c r="E43" s="29">
        <v>13</v>
      </c>
    </row>
    <row r="44" spans="2:5" x14ac:dyDescent="0.25">
      <c r="B44" s="28">
        <v>825</v>
      </c>
      <c r="C44" s="28">
        <v>2.0499999999999998</v>
      </c>
      <c r="D44" s="32">
        <v>1050</v>
      </c>
      <c r="E44" s="29">
        <v>14</v>
      </c>
    </row>
    <row r="45" spans="2:5" x14ac:dyDescent="0.25">
      <c r="B45" s="28">
        <v>900</v>
      </c>
      <c r="C45" s="28">
        <v>2.2000000000000002</v>
      </c>
      <c r="D45" s="29">
        <v>1125</v>
      </c>
      <c r="E45" s="29">
        <v>15</v>
      </c>
    </row>
    <row r="46" spans="2:5" x14ac:dyDescent="0.25">
      <c r="B46" s="28">
        <v>975</v>
      </c>
      <c r="C46" s="28">
        <v>2.35</v>
      </c>
      <c r="D46" s="32">
        <v>1200</v>
      </c>
      <c r="E46" s="29">
        <v>16</v>
      </c>
    </row>
    <row r="47" spans="2:5" x14ac:dyDescent="0.25">
      <c r="B47" s="28">
        <v>1000</v>
      </c>
      <c r="C47" s="28">
        <v>2.4</v>
      </c>
      <c r="D47" s="32">
        <v>1275</v>
      </c>
      <c r="E47" s="29">
        <v>17</v>
      </c>
    </row>
    <row r="48" spans="2:5" x14ac:dyDescent="0.25">
      <c r="B48" s="28">
        <v>1050</v>
      </c>
      <c r="C48" s="28">
        <v>2.5</v>
      </c>
      <c r="D48" s="29">
        <v>1350</v>
      </c>
      <c r="E48" s="29">
        <v>18</v>
      </c>
    </row>
    <row r="49" spans="2:5" x14ac:dyDescent="0.25">
      <c r="B49" s="28">
        <v>1125</v>
      </c>
      <c r="C49" s="28">
        <v>2.65</v>
      </c>
      <c r="D49" s="32">
        <v>1425</v>
      </c>
      <c r="E49" s="29">
        <v>19</v>
      </c>
    </row>
    <row r="50" spans="2:5" x14ac:dyDescent="0.25">
      <c r="B50" s="28">
        <v>1200</v>
      </c>
      <c r="C50" s="28">
        <v>2.8</v>
      </c>
      <c r="D50" s="32">
        <v>1500</v>
      </c>
      <c r="E50" s="29">
        <v>20</v>
      </c>
    </row>
    <row r="51" spans="2:5" x14ac:dyDescent="0.25">
      <c r="B51" s="28">
        <v>1250</v>
      </c>
      <c r="C51" s="28">
        <v>2.9</v>
      </c>
      <c r="D51" s="29">
        <v>1575</v>
      </c>
      <c r="E51" s="29">
        <v>21</v>
      </c>
    </row>
    <row r="52" spans="2:5" x14ac:dyDescent="0.25">
      <c r="B52" s="28">
        <v>1275</v>
      </c>
      <c r="C52" s="28">
        <v>2.95</v>
      </c>
      <c r="D52" s="32">
        <v>1650</v>
      </c>
      <c r="E52" s="29">
        <v>22</v>
      </c>
    </row>
    <row r="53" spans="2:5" x14ac:dyDescent="0.25">
      <c r="B53" s="28">
        <v>1350</v>
      </c>
      <c r="C53" s="28">
        <v>3.1</v>
      </c>
      <c r="D53" s="32">
        <v>1725</v>
      </c>
      <c r="E53" s="29">
        <v>23</v>
      </c>
    </row>
    <row r="54" spans="2:5" x14ac:dyDescent="0.25">
      <c r="B54" s="28">
        <v>1425</v>
      </c>
      <c r="C54" s="28">
        <v>3.25</v>
      </c>
      <c r="D54" s="29">
        <v>1800</v>
      </c>
      <c r="E54" s="29">
        <v>24</v>
      </c>
    </row>
    <row r="55" spans="2:5" x14ac:dyDescent="0.25">
      <c r="B55" s="28">
        <v>1500</v>
      </c>
      <c r="C55" s="28">
        <v>3.4</v>
      </c>
      <c r="D55" s="32">
        <v>1875</v>
      </c>
      <c r="E55" s="29">
        <v>25</v>
      </c>
    </row>
    <row r="56" spans="2:5" x14ac:dyDescent="0.25">
      <c r="B56" s="28">
        <v>1600</v>
      </c>
      <c r="C56" s="28">
        <v>3.56</v>
      </c>
      <c r="D56" s="32">
        <v>1950</v>
      </c>
      <c r="E56" s="29">
        <v>26</v>
      </c>
    </row>
    <row r="57" spans="2:5" x14ac:dyDescent="0.25">
      <c r="B57" s="28">
        <v>2000</v>
      </c>
      <c r="C57" s="28">
        <v>4.2</v>
      </c>
      <c r="D57" s="29">
        <v>2025</v>
      </c>
      <c r="E57" s="29">
        <v>27</v>
      </c>
    </row>
    <row r="58" spans="2:5" x14ac:dyDescent="0.25">
      <c r="B58" s="28">
        <v>2500</v>
      </c>
      <c r="C58" s="28">
        <v>5</v>
      </c>
      <c r="D58" s="32">
        <v>2100</v>
      </c>
      <c r="E58" s="29">
        <v>28</v>
      </c>
    </row>
    <row r="59" spans="2:5" x14ac:dyDescent="0.25">
      <c r="B59" s="33">
        <v>2600</v>
      </c>
      <c r="C59" s="33">
        <v>5.16</v>
      </c>
      <c r="D59" s="29">
        <v>2175</v>
      </c>
      <c r="E59" s="29">
        <v>29</v>
      </c>
    </row>
    <row r="60" spans="2:5" x14ac:dyDescent="0.25">
      <c r="B60" s="33">
        <v>2700</v>
      </c>
      <c r="C60" s="33">
        <v>5.32</v>
      </c>
      <c r="D60" s="32">
        <v>2250</v>
      </c>
      <c r="E60" s="29">
        <v>30</v>
      </c>
    </row>
    <row r="61" spans="2:5" x14ac:dyDescent="0.25">
      <c r="B61" s="33">
        <v>2800</v>
      </c>
      <c r="C61" s="33">
        <v>5.48</v>
      </c>
      <c r="D61" s="32">
        <v>2325</v>
      </c>
      <c r="E61" s="29">
        <v>31</v>
      </c>
    </row>
    <row r="62" spans="2:5" x14ac:dyDescent="0.25">
      <c r="B62" s="33">
        <v>2900</v>
      </c>
      <c r="C62" s="33">
        <v>5.64</v>
      </c>
      <c r="D62" s="29">
        <v>2400</v>
      </c>
      <c r="E62" s="29">
        <v>32</v>
      </c>
    </row>
    <row r="63" spans="2:5" x14ac:dyDescent="0.25">
      <c r="B63" s="33">
        <v>3000</v>
      </c>
      <c r="C63" s="33">
        <v>5.8</v>
      </c>
      <c r="D63" s="32">
        <v>2475</v>
      </c>
      <c r="E63" s="29">
        <v>33</v>
      </c>
    </row>
    <row r="64" spans="2:5" x14ac:dyDescent="0.25">
      <c r="B64" s="33">
        <v>3100</v>
      </c>
      <c r="C64" s="33">
        <v>5.96</v>
      </c>
      <c r="D64" s="32">
        <v>2550</v>
      </c>
      <c r="E64" s="29">
        <v>34</v>
      </c>
    </row>
    <row r="65" spans="2:5" x14ac:dyDescent="0.25">
      <c r="B65" s="33">
        <v>3200</v>
      </c>
      <c r="C65" s="33">
        <v>6.12</v>
      </c>
      <c r="D65" s="32">
        <v>2625</v>
      </c>
      <c r="E65" s="29">
        <v>35</v>
      </c>
    </row>
    <row r="66" spans="2:5" x14ac:dyDescent="0.25">
      <c r="B66" s="33">
        <v>3300</v>
      </c>
      <c r="C66" s="33">
        <v>6.28</v>
      </c>
      <c r="D66" s="32">
        <v>2700</v>
      </c>
      <c r="E66" s="29">
        <v>36</v>
      </c>
    </row>
    <row r="67" spans="2:5" x14ac:dyDescent="0.25">
      <c r="B67" s="33">
        <v>3400</v>
      </c>
      <c r="C67" s="33">
        <v>6.44</v>
      </c>
      <c r="D67" s="29">
        <v>2775</v>
      </c>
      <c r="E67" s="29">
        <v>37</v>
      </c>
    </row>
    <row r="68" spans="2:5" x14ac:dyDescent="0.25">
      <c r="B68" s="33">
        <v>3500</v>
      </c>
      <c r="C68" s="33">
        <v>6.6</v>
      </c>
      <c r="D68" s="32">
        <v>2850</v>
      </c>
      <c r="E68" s="29">
        <v>38</v>
      </c>
    </row>
    <row r="69" spans="2:5" x14ac:dyDescent="0.25">
      <c r="B69" s="29"/>
      <c r="C69" s="29"/>
      <c r="D69" s="32">
        <v>2925</v>
      </c>
      <c r="E69" s="29">
        <v>39</v>
      </c>
    </row>
    <row r="70" spans="2:5" x14ac:dyDescent="0.25">
      <c r="B70" s="29"/>
      <c r="C70" s="29"/>
      <c r="D70" s="29">
        <v>3000</v>
      </c>
      <c r="E70" s="29">
        <v>40</v>
      </c>
    </row>
    <row r="71" spans="2:5" x14ac:dyDescent="0.25">
      <c r="B71" s="29"/>
      <c r="C71" s="29"/>
      <c r="D71" s="32">
        <v>3075</v>
      </c>
      <c r="E71" s="29">
        <v>41</v>
      </c>
    </row>
    <row r="72" spans="2:5" x14ac:dyDescent="0.25">
      <c r="B72" s="29"/>
      <c r="C72" s="29"/>
      <c r="D72" s="32">
        <v>3150</v>
      </c>
      <c r="E72" s="29">
        <v>42</v>
      </c>
    </row>
    <row r="73" spans="2:5" x14ac:dyDescent="0.25">
      <c r="B73" s="29"/>
      <c r="C73" s="29"/>
      <c r="D73" s="32">
        <v>3225</v>
      </c>
      <c r="E73" s="29">
        <v>43</v>
      </c>
    </row>
    <row r="74" spans="2:5" x14ac:dyDescent="0.25">
      <c r="B74" s="29"/>
      <c r="C74" s="29"/>
      <c r="D74" s="32">
        <v>3300</v>
      </c>
      <c r="E74" s="29">
        <v>44</v>
      </c>
    </row>
    <row r="75" spans="2:5" x14ac:dyDescent="0.25">
      <c r="B75" s="29"/>
      <c r="C75" s="29"/>
      <c r="D75" s="29">
        <v>3375</v>
      </c>
      <c r="E75" s="29">
        <v>45</v>
      </c>
    </row>
    <row r="76" spans="2:5" x14ac:dyDescent="0.25">
      <c r="B76" s="29"/>
      <c r="C76" s="29"/>
      <c r="D76" s="32">
        <v>3450</v>
      </c>
      <c r="E76" s="29">
        <v>46</v>
      </c>
    </row>
    <row r="77" spans="2:5" x14ac:dyDescent="0.25">
      <c r="B77" s="29"/>
      <c r="C77" s="29"/>
      <c r="D77" s="32">
        <v>3525</v>
      </c>
      <c r="E77" s="29">
        <v>47</v>
      </c>
    </row>
    <row r="78" spans="2:5" x14ac:dyDescent="0.25">
      <c r="B78" s="29"/>
      <c r="C78" s="29"/>
      <c r="D78" s="29">
        <v>3600</v>
      </c>
      <c r="E78" s="29">
        <v>48</v>
      </c>
    </row>
    <row r="79" spans="2:5" x14ac:dyDescent="0.25">
      <c r="B79" s="29"/>
      <c r="C79" s="29"/>
      <c r="D79" s="32">
        <v>3675</v>
      </c>
      <c r="E79" s="29">
        <v>49</v>
      </c>
    </row>
    <row r="80" spans="2:5" x14ac:dyDescent="0.25">
      <c r="B80" s="29"/>
      <c r="C80" s="29"/>
      <c r="D80" s="32">
        <v>3750</v>
      </c>
      <c r="E80" s="29">
        <v>50</v>
      </c>
    </row>
    <row r="81" spans="2:5" x14ac:dyDescent="0.25">
      <c r="B81" s="29"/>
      <c r="C81" s="29"/>
      <c r="D81" s="32">
        <v>3825</v>
      </c>
      <c r="E81" s="29">
        <v>51</v>
      </c>
    </row>
    <row r="82" spans="2:5" x14ac:dyDescent="0.25">
      <c r="B82" s="29"/>
      <c r="C82" s="29"/>
      <c r="D82" s="32">
        <v>3900</v>
      </c>
      <c r="E82" s="29">
        <v>52</v>
      </c>
    </row>
    <row r="83" spans="2:5" x14ac:dyDescent="0.25">
      <c r="B83" s="29"/>
      <c r="C83" s="29"/>
      <c r="D83" s="29">
        <v>3975</v>
      </c>
      <c r="E83" s="29">
        <v>53</v>
      </c>
    </row>
    <row r="84" spans="2:5" x14ac:dyDescent="0.25">
      <c r="B84" s="29"/>
      <c r="C84" s="29"/>
      <c r="D84" s="32">
        <v>4050</v>
      </c>
      <c r="E84" s="29">
        <v>54</v>
      </c>
    </row>
    <row r="85" spans="2:5" x14ac:dyDescent="0.25">
      <c r="B85" s="29"/>
      <c r="C85" s="29"/>
      <c r="D85" s="32">
        <v>4125</v>
      </c>
      <c r="E85" s="29">
        <v>55</v>
      </c>
    </row>
    <row r="86" spans="2:5" x14ac:dyDescent="0.25">
      <c r="B86" s="29"/>
      <c r="C86" s="29"/>
      <c r="D86" s="29">
        <v>4200</v>
      </c>
      <c r="E86" s="29">
        <v>56</v>
      </c>
    </row>
    <row r="87" spans="2:5" x14ac:dyDescent="0.25">
      <c r="B87" s="29"/>
      <c r="C87" s="29"/>
      <c r="D87" s="32">
        <v>4275</v>
      </c>
      <c r="E87" s="29">
        <v>57</v>
      </c>
    </row>
    <row r="88" spans="2:5" x14ac:dyDescent="0.25">
      <c r="B88" s="29"/>
      <c r="C88" s="29"/>
      <c r="D88" s="32">
        <v>4350</v>
      </c>
      <c r="E88" s="29">
        <v>58</v>
      </c>
    </row>
    <row r="89" spans="2:5" x14ac:dyDescent="0.25">
      <c r="B89" s="29"/>
      <c r="C89" s="29"/>
      <c r="D89" s="32">
        <v>4425</v>
      </c>
      <c r="E89" s="29">
        <v>59</v>
      </c>
    </row>
    <row r="90" spans="2:5" x14ac:dyDescent="0.25">
      <c r="B90" s="29"/>
      <c r="C90" s="29"/>
      <c r="D90" s="32">
        <v>4500</v>
      </c>
      <c r="E90" s="29">
        <v>60</v>
      </c>
    </row>
    <row r="91" spans="2:5" x14ac:dyDescent="0.25">
      <c r="B91" s="29"/>
      <c r="C91" s="29"/>
      <c r="D91" s="29">
        <v>4575</v>
      </c>
      <c r="E91" s="29">
        <v>61</v>
      </c>
    </row>
    <row r="92" spans="2:5" x14ac:dyDescent="0.25">
      <c r="B92" s="29"/>
      <c r="C92" s="29"/>
      <c r="D92" s="32">
        <v>4650</v>
      </c>
      <c r="E92" s="29">
        <v>62</v>
      </c>
    </row>
    <row r="93" spans="2:5" x14ac:dyDescent="0.25">
      <c r="B93" s="29"/>
      <c r="C93" s="29"/>
      <c r="D93" s="32">
        <v>4725</v>
      </c>
      <c r="E93" s="29">
        <v>63</v>
      </c>
    </row>
    <row r="94" spans="2:5" x14ac:dyDescent="0.25">
      <c r="B94" s="29"/>
      <c r="C94" s="29"/>
      <c r="D94" s="29">
        <v>4800</v>
      </c>
      <c r="E94" s="29">
        <v>64</v>
      </c>
    </row>
    <row r="95" spans="2:5" x14ac:dyDescent="0.25">
      <c r="B95" s="29"/>
      <c r="C95" s="29"/>
      <c r="D95" s="32">
        <v>4875</v>
      </c>
      <c r="E95" s="29">
        <v>65</v>
      </c>
    </row>
    <row r="96" spans="2:5" x14ac:dyDescent="0.25">
      <c r="B96" s="29"/>
      <c r="C96" s="29"/>
      <c r="D96" s="32">
        <v>4950</v>
      </c>
      <c r="E96" s="29">
        <v>66</v>
      </c>
    </row>
    <row r="97" spans="2:5" x14ac:dyDescent="0.25">
      <c r="B97" s="29"/>
      <c r="C97" s="29"/>
      <c r="D97" s="32">
        <v>5025</v>
      </c>
      <c r="E97" s="29">
        <v>67</v>
      </c>
    </row>
    <row r="98" spans="2:5" x14ac:dyDescent="0.25">
      <c r="B98" s="29"/>
      <c r="C98" s="29"/>
      <c r="D98" s="32">
        <v>5100</v>
      </c>
      <c r="E98" s="29">
        <v>68</v>
      </c>
    </row>
  </sheetData>
  <sheetProtection algorithmName="SHA-512" hashValue="CI9kbH1pFtPEeOmzfIUAC2NWsnqP06hPneU2bXMZuENdgh6d2qC9PPyAR6HgxtlcrzsexNn0RC3N9fuHqoClnw==" saltValue="ik4qnkzCJaETFW4l0TXiAw==" spinCount="100000" sheet="1" objects="1" scenarios="1"/>
  <mergeCells count="1">
    <mergeCell ref="H28:J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Trafikanalyse</vt:lpstr>
      <vt:lpstr>Beregninger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Mille Albæk Pedersen - Scanmarket A/S</cp:lastModifiedBy>
  <cp:lastPrinted>2016-10-12T09:31:39Z</cp:lastPrinted>
  <dcterms:created xsi:type="dcterms:W3CDTF">2016-04-16T05:48:23Z</dcterms:created>
  <dcterms:modified xsi:type="dcterms:W3CDTF">2017-08-14T07:55:39Z</dcterms:modified>
</cp:coreProperties>
</file>